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4D684A1B-6995-2142-9C61-6C650857CDEA}" xr6:coauthVersionLast="47" xr6:coauthVersionMax="47" xr10:uidLastSave="{00000000-0000-0000-0000-000000000000}"/>
  <bookViews>
    <workbookView xWindow="3540" yWindow="760" windowWidth="22960" windowHeight="16780" xr2:uid="{00000000-000D-0000-FFFF-FFFF00000000}"/>
  </bookViews>
  <sheets>
    <sheet name="BAB" sheetId="1" r:id="rId1"/>
    <sheet name="BAB quer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1" l="1"/>
  <c r="F25" i="1"/>
  <c r="B26" i="1"/>
  <c r="D26" i="1"/>
  <c r="D27" i="1"/>
  <c r="F26" i="1"/>
  <c r="F27" i="1"/>
  <c r="B27" i="1"/>
  <c r="C31" i="1"/>
  <c r="E31" i="1"/>
  <c r="C32" i="1"/>
  <c r="E32" i="1"/>
  <c r="C33" i="1"/>
  <c r="E33" i="1"/>
  <c r="C34" i="1"/>
  <c r="E34" i="1"/>
  <c r="D40" i="1"/>
  <c r="D41" i="1"/>
  <c r="D42" i="1"/>
  <c r="D43" i="1"/>
  <c r="D44" i="1"/>
  <c r="D45" i="1"/>
  <c r="D46" i="1"/>
  <c r="D49" i="1"/>
  <c r="D50" i="1"/>
  <c r="D52" i="1"/>
  <c r="B53" i="1"/>
  <c r="B54" i="1"/>
  <c r="B55" i="1" s="1"/>
  <c r="B56" i="1" s="1"/>
  <c r="D56" i="1"/>
  <c r="D57" i="1"/>
  <c r="B63" i="1"/>
  <c r="B64" i="1"/>
  <c r="D64" i="1"/>
  <c r="D63" i="1"/>
  <c r="E63" i="1"/>
  <c r="D65" i="1"/>
  <c r="B79" i="1"/>
  <c r="B81" i="1"/>
  <c r="B83" i="1"/>
  <c r="C86" i="1"/>
  <c r="C76" i="1"/>
  <c r="B76" i="1"/>
  <c r="C85" i="1"/>
  <c r="D85" i="1"/>
  <c r="G9" i="3"/>
  <c r="F9" i="3"/>
  <c r="E9" i="3"/>
  <c r="D9" i="3"/>
  <c r="C9" i="3"/>
  <c r="G7" i="3"/>
  <c r="F7" i="3"/>
  <c r="E7" i="3"/>
  <c r="D7" i="3"/>
  <c r="C7" i="3"/>
  <c r="G6" i="3"/>
  <c r="F6" i="3"/>
  <c r="E6" i="3"/>
  <c r="D6" i="3"/>
  <c r="C6" i="3"/>
  <c r="B10" i="3"/>
  <c r="B12" i="3"/>
  <c r="B10" i="1"/>
  <c r="B12" i="1"/>
  <c r="F6" i="1"/>
  <c r="F7" i="1"/>
  <c r="F10" i="1"/>
  <c r="F9" i="1"/>
  <c r="D6" i="1"/>
  <c r="D7" i="1"/>
  <c r="D9" i="1"/>
  <c r="D10" i="1"/>
  <c r="E6" i="1"/>
  <c r="E7" i="1"/>
  <c r="E9" i="1"/>
  <c r="G6" i="1"/>
  <c r="G10" i="1"/>
  <c r="G7" i="1"/>
  <c r="G9" i="1"/>
  <c r="F4" i="1"/>
  <c r="F13" i="1"/>
  <c r="F5" i="1"/>
  <c r="D13" i="1"/>
  <c r="E13" i="1"/>
  <c r="C9" i="1"/>
  <c r="C7" i="1"/>
  <c r="C10" i="1"/>
  <c r="C11" i="1"/>
  <c r="C6" i="1"/>
  <c r="E10" i="1"/>
  <c r="E12" i="1"/>
  <c r="F11" i="1"/>
  <c r="F12" i="1"/>
  <c r="D11" i="1"/>
  <c r="D12" i="1"/>
  <c r="E11" i="1"/>
  <c r="G11" i="1"/>
  <c r="G12" i="1"/>
  <c r="G14" i="1"/>
  <c r="F14" i="1"/>
  <c r="D16" i="1"/>
  <c r="D14" i="1"/>
  <c r="B19" i="1"/>
  <c r="E14" i="1"/>
  <c r="B20" i="1"/>
  <c r="D55" i="1"/>
  <c r="D54" i="1"/>
  <c r="D53" i="1"/>
  <c r="E53" i="1"/>
  <c r="B65" i="1"/>
  <c r="B66" i="1"/>
  <c r="B57" i="1" l="1"/>
  <c r="B58" i="1" s="1"/>
</calcChain>
</file>

<file path=xl/sharedStrings.xml><?xml version="1.0" encoding="utf-8"?>
<sst xmlns="http://schemas.openxmlformats.org/spreadsheetml/2006/main" count="103" uniqueCount="79">
  <si>
    <t>Lösungen Sem.prüfung WS 22/23</t>
  </si>
  <si>
    <t>Hotel Innsbruck</t>
  </si>
  <si>
    <t>Summen</t>
  </si>
  <si>
    <t>Verwaltung</t>
  </si>
  <si>
    <t xml:space="preserve">Küche </t>
  </si>
  <si>
    <t>Keller</t>
  </si>
  <si>
    <t>Restaurant</t>
  </si>
  <si>
    <t>Logis</t>
  </si>
  <si>
    <t>LM-Einsatz</t>
  </si>
  <si>
    <t>Getränke Einsatz</t>
  </si>
  <si>
    <t>Energiekosten</t>
  </si>
  <si>
    <t>Personalkosten</t>
  </si>
  <si>
    <t>Diverse Kosten</t>
  </si>
  <si>
    <t>Kalk. Kosten</t>
  </si>
  <si>
    <t>GK Summe I</t>
  </si>
  <si>
    <t>Umlage Verwaltung</t>
  </si>
  <si>
    <t>GK Summe II</t>
  </si>
  <si>
    <t>Zuschlagsbasen</t>
  </si>
  <si>
    <t>Nächtigungen</t>
  </si>
  <si>
    <t>GKZ, Selbstkosten</t>
  </si>
  <si>
    <t>Kosten</t>
  </si>
  <si>
    <t>GKZ Restaurant</t>
  </si>
  <si>
    <t>Speisen</t>
  </si>
  <si>
    <t>Getränke</t>
  </si>
  <si>
    <t>Betriebserfolg</t>
  </si>
  <si>
    <t>gesamt</t>
  </si>
  <si>
    <t>Verpflegung</t>
  </si>
  <si>
    <t>Gesamt</t>
  </si>
  <si>
    <t>Erlöse</t>
  </si>
  <si>
    <t xml:space="preserve"> - WES</t>
  </si>
  <si>
    <t xml:space="preserve"> - Gesamtko BAB</t>
  </si>
  <si>
    <t>NRA in €</t>
  </si>
  <si>
    <t>NRAin %</t>
  </si>
  <si>
    <t>%</t>
  </si>
  <si>
    <t>Kalkulation Wiener Schnitzel</t>
  </si>
  <si>
    <t>Menge</t>
  </si>
  <si>
    <t>Ware</t>
  </si>
  <si>
    <t>Preis</t>
  </si>
  <si>
    <t>Lösung</t>
  </si>
  <si>
    <t>2,5 kg</t>
  </si>
  <si>
    <t>Schnitzelfleisch</t>
  </si>
  <si>
    <t>800 g</t>
  </si>
  <si>
    <t>Fett</t>
  </si>
  <si>
    <t xml:space="preserve"> 150 g</t>
  </si>
  <si>
    <t>Butter</t>
  </si>
  <si>
    <t>4 Stk.</t>
  </si>
  <si>
    <t>Zitrone</t>
  </si>
  <si>
    <t>0,3 kg</t>
  </si>
  <si>
    <t>Brösel</t>
  </si>
  <si>
    <t>120 g</t>
  </si>
  <si>
    <t>Mehl</t>
  </si>
  <si>
    <t>11 Stk.</t>
  </si>
  <si>
    <t>Ei</t>
  </si>
  <si>
    <t>Gewürze</t>
  </si>
  <si>
    <t>Beilagen</t>
  </si>
  <si>
    <t>Summe 10</t>
  </si>
  <si>
    <t>1 Person</t>
  </si>
  <si>
    <t>a) Kalkulation</t>
  </si>
  <si>
    <t>b)</t>
  </si>
  <si>
    <t>WES</t>
  </si>
  <si>
    <t>3) Kalkulationen Getränke</t>
  </si>
  <si>
    <t>gerundet</t>
  </si>
  <si>
    <t>4) Break even Point</t>
  </si>
  <si>
    <t>fix</t>
  </si>
  <si>
    <t>variabel</t>
  </si>
  <si>
    <t>Standplatz</t>
  </si>
  <si>
    <t>Personal</t>
  </si>
  <si>
    <t>Gläser waschen</t>
  </si>
  <si>
    <t>Summe</t>
  </si>
  <si>
    <t>erlöse netto</t>
  </si>
  <si>
    <t>Erlöse netto</t>
  </si>
  <si>
    <t xml:space="preserve"> - var. Ko</t>
  </si>
  <si>
    <t>DB</t>
  </si>
  <si>
    <t>BEP</t>
  </si>
  <si>
    <t>Fixkosten</t>
  </si>
  <si>
    <t>Es müssen mindestens 174 Punsch verkauft werden, um den BEP zu erreichen.</t>
  </si>
  <si>
    <t>GK I</t>
  </si>
  <si>
    <t>GK II</t>
  </si>
  <si>
    <t>GKZ/ Selbstkosten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</si>
</sst>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_-;\-* #,##0.0_-;_-* &quot;-&quot;??_-;_-@_-"/>
    <numFmt numFmtId="166" formatCode="_-* #,##0_-;\-* #,##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3" fontId="0" fillId="0" borderId="0" xfId="2" applyFont="1"/>
    <xf numFmtId="43" fontId="0" fillId="0" borderId="0" xfId="0" applyNumberFormat="1"/>
    <xf numFmtId="166" fontId="0" fillId="0" borderId="0" xfId="2" applyNumberFormat="1" applyFont="1"/>
    <xf numFmtId="0" fontId="3" fillId="0" borderId="0" xfId="0" applyFont="1"/>
    <xf numFmtId="43" fontId="4" fillId="0" borderId="0" xfId="0" applyNumberFormat="1" applyFont="1"/>
    <xf numFmtId="0" fontId="4" fillId="0" borderId="0" xfId="0" applyFont="1"/>
    <xf numFmtId="165" fontId="0" fillId="0" borderId="0" xfId="0" applyNumberFormat="1"/>
    <xf numFmtId="43" fontId="5" fillId="0" borderId="0" xfId="0" applyNumberFormat="1" applyFont="1"/>
    <xf numFmtId="0" fontId="5" fillId="0" borderId="0" xfId="0" applyFont="1"/>
    <xf numFmtId="43" fontId="0" fillId="0" borderId="1" xfId="2" applyFont="1" applyBorder="1"/>
    <xf numFmtId="43" fontId="0" fillId="0" borderId="0" xfId="2" applyFont="1" applyBorder="1"/>
    <xf numFmtId="2" fontId="0" fillId="0" borderId="0" xfId="0" applyNumberFormat="1"/>
    <xf numFmtId="43" fontId="0" fillId="0" borderId="2" xfId="2" applyFont="1" applyBorder="1"/>
    <xf numFmtId="43" fontId="0" fillId="0" borderId="3" xfId="2" applyFont="1" applyBorder="1"/>
    <xf numFmtId="43" fontId="0" fillId="0" borderId="4" xfId="2" applyFont="1" applyBorder="1"/>
    <xf numFmtId="43" fontId="0" fillId="0" borderId="5" xfId="2" applyFont="1" applyBorder="1"/>
    <xf numFmtId="43" fontId="0" fillId="0" borderId="6" xfId="2" applyFont="1" applyBorder="1"/>
    <xf numFmtId="43" fontId="4" fillId="0" borderId="0" xfId="2" applyFont="1"/>
    <xf numFmtId="43" fontId="4" fillId="0" borderId="0" xfId="2" applyFont="1" applyBorder="1"/>
    <xf numFmtId="165" fontId="4" fillId="0" borderId="0" xfId="0" applyNumberFormat="1" applyFont="1"/>
    <xf numFmtId="0" fontId="9" fillId="0" borderId="0" xfId="0" applyFont="1"/>
    <xf numFmtId="164" fontId="0" fillId="0" borderId="0" xfId="1" applyFont="1"/>
    <xf numFmtId="43" fontId="6" fillId="0" borderId="7" xfId="2" applyFont="1" applyBorder="1"/>
    <xf numFmtId="43" fontId="7" fillId="0" borderId="7" xfId="2" applyFont="1" applyBorder="1"/>
    <xf numFmtId="0" fontId="8" fillId="0" borderId="7" xfId="0" applyFont="1" applyBorder="1"/>
    <xf numFmtId="43" fontId="8" fillId="0" borderId="7" xfId="2" applyFont="1" applyBorder="1"/>
    <xf numFmtId="0" fontId="6" fillId="0" borderId="7" xfId="0" applyFont="1" applyBorder="1"/>
    <xf numFmtId="10" fontId="6" fillId="0" borderId="7" xfId="2" applyNumberFormat="1" applyFont="1" applyBorder="1"/>
    <xf numFmtId="43" fontId="6" fillId="0" borderId="7" xfId="0" applyNumberFormat="1" applyFont="1" applyBorder="1"/>
    <xf numFmtId="0" fontId="0" fillId="0" borderId="7" xfId="0" applyBorder="1"/>
    <xf numFmtId="43" fontId="6" fillId="2" borderId="7" xfId="2" applyFont="1" applyFill="1" applyBorder="1"/>
    <xf numFmtId="43" fontId="3" fillId="0" borderId="1" xfId="2" applyFont="1" applyBorder="1"/>
    <xf numFmtId="0" fontId="3" fillId="0" borderId="1" xfId="0" applyFont="1" applyBorder="1"/>
    <xf numFmtId="10" fontId="0" fillId="0" borderId="0" xfId="3" applyNumberFormat="1" applyFont="1"/>
    <xf numFmtId="10" fontId="0" fillId="0" borderId="0" xfId="3" applyNumberFormat="1" applyFont="1" applyBorder="1"/>
    <xf numFmtId="43" fontId="11" fillId="0" borderId="2" xfId="2" applyFont="1" applyBorder="1"/>
    <xf numFmtId="43" fontId="11" fillId="0" borderId="5" xfId="2" applyFont="1" applyBorder="1"/>
    <xf numFmtId="43" fontId="11" fillId="0" borderId="0" xfId="2" applyFont="1"/>
    <xf numFmtId="43" fontId="11" fillId="0" borderId="1" xfId="2" applyFont="1" applyBorder="1"/>
    <xf numFmtId="43" fontId="11" fillId="0" borderId="7" xfId="2" applyFont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7" xfId="0" applyFont="1" applyBorder="1"/>
    <xf numFmtId="0" fontId="13" fillId="0" borderId="7" xfId="0" applyFont="1" applyBorder="1"/>
    <xf numFmtId="0" fontId="14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43" fontId="13" fillId="3" borderId="7" xfId="2" applyFont="1" applyFill="1" applyBorder="1"/>
    <xf numFmtId="0" fontId="14" fillId="0" borderId="0" xfId="0" applyFont="1" applyAlignment="1">
      <alignment horizontal="left" vertical="center" indent="5"/>
    </xf>
    <xf numFmtId="43" fontId="13" fillId="3" borderId="7" xfId="0" applyNumberFormat="1" applyFont="1" applyFill="1" applyBorder="1"/>
    <xf numFmtId="43" fontId="13" fillId="0" borderId="0" xfId="2" applyFont="1"/>
    <xf numFmtId="9" fontId="13" fillId="0" borderId="0" xfId="0" applyNumberFormat="1" applyFont="1"/>
    <xf numFmtId="43" fontId="13" fillId="0" borderId="1" xfId="2" applyFont="1" applyBorder="1"/>
    <xf numFmtId="43" fontId="13" fillId="3" borderId="0" xfId="2" applyFont="1" applyFill="1"/>
    <xf numFmtId="10" fontId="13" fillId="3" borderId="0" xfId="3" applyNumberFormat="1" applyFont="1" applyFill="1"/>
    <xf numFmtId="10" fontId="13" fillId="0" borderId="0" xfId="0" applyNumberFormat="1" applyFont="1"/>
    <xf numFmtId="43" fontId="13" fillId="0" borderId="1" xfId="0" applyNumberFormat="1" applyFont="1" applyBorder="1"/>
    <xf numFmtId="43" fontId="13" fillId="0" borderId="0" xfId="0" applyNumberFormat="1" applyFont="1"/>
    <xf numFmtId="0" fontId="13" fillId="3" borderId="0" xfId="0" applyFont="1" applyFill="1"/>
    <xf numFmtId="0" fontId="13" fillId="0" borderId="1" xfId="0" applyFont="1" applyBorder="1"/>
    <xf numFmtId="43" fontId="12" fillId="3" borderId="0" xfId="0" applyNumberFormat="1" applyFont="1" applyFill="1"/>
    <xf numFmtId="0" fontId="15" fillId="0" borderId="0" xfId="0" applyFont="1"/>
    <xf numFmtId="43" fontId="15" fillId="0" borderId="0" xfId="2" applyFont="1"/>
    <xf numFmtId="0" fontId="16" fillId="0" borderId="0" xfId="0" applyFont="1"/>
    <xf numFmtId="43" fontId="15" fillId="0" borderId="0" xfId="0" applyNumberFormat="1" applyFont="1"/>
    <xf numFmtId="0" fontId="7" fillId="2" borderId="7" xfId="0" applyFont="1" applyFill="1" applyBorder="1"/>
    <xf numFmtId="0" fontId="7" fillId="0" borderId="7" xfId="0" applyFont="1" applyBorder="1"/>
  </cellXfs>
  <cellStyles count="4">
    <cellStyle name="Euro" xfId="1" xr:uid="{00000000-0005-0000-0000-000001000000}"/>
    <cellStyle name="Komma" xfId="2" builtinId="3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topLeftCell="A7" zoomScale="128" zoomScaleNormal="128" workbookViewId="0">
      <selection activeCell="C34" sqref="C34"/>
    </sheetView>
  </sheetViews>
  <sheetFormatPr baseColWidth="10" defaultColWidth="8.83203125" defaultRowHeight="13" x14ac:dyDescent="0.15"/>
  <cols>
    <col min="1" max="1" width="17" customWidth="1"/>
    <col min="2" max="2" width="13.33203125" customWidth="1"/>
    <col min="3" max="3" width="13.5" customWidth="1"/>
    <col min="4" max="4" width="12.33203125" bestFit="1" customWidth="1"/>
    <col min="5" max="5" width="11.5" customWidth="1"/>
    <col min="6" max="6" width="11.83203125" bestFit="1" customWidth="1"/>
    <col min="7" max="7" width="14.6640625" customWidth="1"/>
    <col min="8" max="8" width="11.5" customWidth="1"/>
    <col min="9" max="9" width="10.83203125" style="63" customWidth="1"/>
    <col min="10" max="256" width="11.5" customWidth="1"/>
  </cols>
  <sheetData>
    <row r="1" spans="1:10" x14ac:dyDescent="0.15">
      <c r="A1" s="41" t="s">
        <v>0</v>
      </c>
    </row>
    <row r="2" spans="1:10" x14ac:dyDescent="0.15">
      <c r="A2" s="6" t="s">
        <v>1</v>
      </c>
    </row>
    <row r="3" spans="1:10" x14ac:dyDescent="0.1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10" x14ac:dyDescent="0.15">
      <c r="A4" t="s">
        <v>8</v>
      </c>
      <c r="B4" s="13">
        <v>78300</v>
      </c>
      <c r="C4" s="14"/>
      <c r="D4" s="14">
        <v>78300</v>
      </c>
      <c r="E4" s="14"/>
      <c r="F4" s="14">
        <f>D4</f>
        <v>78300</v>
      </c>
      <c r="G4" s="15"/>
      <c r="H4" s="1"/>
      <c r="I4" s="64"/>
      <c r="J4" s="1"/>
    </row>
    <row r="5" spans="1:10" x14ac:dyDescent="0.15">
      <c r="A5" t="s">
        <v>9</v>
      </c>
      <c r="B5" s="16">
        <v>18600</v>
      </c>
      <c r="C5" s="10"/>
      <c r="D5" s="10"/>
      <c r="E5" s="10">
        <v>18600</v>
      </c>
      <c r="F5" s="10">
        <f>E5</f>
        <v>18600</v>
      </c>
      <c r="G5" s="17"/>
      <c r="H5" s="1"/>
      <c r="I5" s="64"/>
      <c r="J5" s="1"/>
    </row>
    <row r="6" spans="1:10" x14ac:dyDescent="0.15">
      <c r="A6" t="s">
        <v>10</v>
      </c>
      <c r="B6" s="1">
        <v>26000</v>
      </c>
      <c r="C6" s="1">
        <f>B6*0.05</f>
        <v>1300</v>
      </c>
      <c r="D6" s="1">
        <f>B6*0.15</f>
        <v>3900</v>
      </c>
      <c r="E6" s="1">
        <f>B6*0.05</f>
        <v>1300</v>
      </c>
      <c r="F6" s="1">
        <f>B6*0.2</f>
        <v>5200</v>
      </c>
      <c r="G6" s="1">
        <f>B6*0.55</f>
        <v>14300.000000000002</v>
      </c>
      <c r="H6" s="1"/>
      <c r="I6" s="64"/>
      <c r="J6" s="1"/>
    </row>
    <row r="7" spans="1:10" x14ac:dyDescent="0.15">
      <c r="A7" t="s">
        <v>11</v>
      </c>
      <c r="B7" s="1">
        <v>129000</v>
      </c>
      <c r="C7" s="1">
        <f>B7*0.12</f>
        <v>15480</v>
      </c>
      <c r="D7" s="1">
        <f>B7*0.22</f>
        <v>28380</v>
      </c>
      <c r="E7" s="1">
        <f>B7*0.03</f>
        <v>3870</v>
      </c>
      <c r="F7" s="1">
        <f>B7*0.11</f>
        <v>14190</v>
      </c>
      <c r="G7" s="1">
        <f>B7*0.52</f>
        <v>67080</v>
      </c>
      <c r="H7" s="1"/>
      <c r="I7" s="64"/>
      <c r="J7" s="1"/>
    </row>
    <row r="8" spans="1:10" x14ac:dyDescent="0.15">
      <c r="A8" t="s">
        <v>12</v>
      </c>
      <c r="B8" s="1">
        <v>52600</v>
      </c>
      <c r="C8" s="1">
        <v>8800</v>
      </c>
      <c r="D8" s="1">
        <v>5900</v>
      </c>
      <c r="E8" s="1">
        <v>2000</v>
      </c>
      <c r="F8" s="1">
        <v>6500</v>
      </c>
      <c r="G8" s="1">
        <v>29400</v>
      </c>
      <c r="H8" s="1"/>
      <c r="I8" s="64"/>
      <c r="J8" s="1"/>
    </row>
    <row r="9" spans="1:10" x14ac:dyDescent="0.15">
      <c r="A9" t="s">
        <v>13</v>
      </c>
      <c r="B9" s="10">
        <v>129000</v>
      </c>
      <c r="C9" s="10">
        <f>B9/134*7</f>
        <v>6738.8059701492539</v>
      </c>
      <c r="D9" s="10">
        <f>B9/134*13</f>
        <v>12514.925373134329</v>
      </c>
      <c r="E9" s="10">
        <f>B9/134*4</f>
        <v>3850.7462686567164</v>
      </c>
      <c r="F9" s="10">
        <f>B9/134*10</f>
        <v>9626.8656716417918</v>
      </c>
      <c r="G9" s="10">
        <f>B9/134*100</f>
        <v>96268.656716417914</v>
      </c>
      <c r="H9" s="1"/>
      <c r="I9" s="64"/>
      <c r="J9" s="1"/>
    </row>
    <row r="10" spans="1:10" x14ac:dyDescent="0.15">
      <c r="A10" t="s">
        <v>14</v>
      </c>
      <c r="B10" s="1">
        <f t="shared" ref="B10:G10" si="0">SUM(B6:B9)</f>
        <v>336600</v>
      </c>
      <c r="C10" s="1">
        <f t="shared" si="0"/>
        <v>32318.805970149253</v>
      </c>
      <c r="D10" s="1">
        <f t="shared" si="0"/>
        <v>50694.925373134327</v>
      </c>
      <c r="E10" s="1">
        <f t="shared" si="0"/>
        <v>11020.746268656716</v>
      </c>
      <c r="F10" s="1">
        <f t="shared" si="0"/>
        <v>35516.86567164179</v>
      </c>
      <c r="G10" s="1">
        <f t="shared" si="0"/>
        <v>207048.65671641793</v>
      </c>
      <c r="H10" s="1"/>
      <c r="I10" s="64"/>
      <c r="J10" s="1"/>
    </row>
    <row r="11" spans="1:10" x14ac:dyDescent="0.15">
      <c r="A11" t="s">
        <v>15</v>
      </c>
      <c r="B11" s="10"/>
      <c r="C11" s="10">
        <f>C10</f>
        <v>32318.805970149253</v>
      </c>
      <c r="D11" s="10">
        <f>C11*0.2</f>
        <v>6463.7611940298511</v>
      </c>
      <c r="E11" s="10">
        <f>C11*0.1</f>
        <v>3231.8805970149256</v>
      </c>
      <c r="F11" s="10">
        <f>C11*0.3</f>
        <v>9695.6417910447763</v>
      </c>
      <c r="G11" s="10">
        <f>C11*0.4</f>
        <v>12927.522388059702</v>
      </c>
      <c r="H11" s="1"/>
      <c r="I11" s="64"/>
      <c r="J11" s="1"/>
    </row>
    <row r="12" spans="1:10" x14ac:dyDescent="0.15">
      <c r="A12" t="s">
        <v>16</v>
      </c>
      <c r="B12" s="1">
        <f>B10</f>
        <v>336600</v>
      </c>
      <c r="C12" s="1">
        <v>0</v>
      </c>
      <c r="D12" s="18">
        <f>D10+D11</f>
        <v>57158.686567164179</v>
      </c>
      <c r="E12" s="18">
        <f>E10+E11</f>
        <v>14252.626865671642</v>
      </c>
      <c r="F12" s="18">
        <f>F10+F11</f>
        <v>45212.507462686568</v>
      </c>
      <c r="G12" s="18">
        <f>SUM(G10:G11)</f>
        <v>219976.17910447763</v>
      </c>
      <c r="H12" s="1"/>
      <c r="I12" s="64"/>
      <c r="J12" s="1"/>
    </row>
    <row r="13" spans="1:10" s="4" customFormat="1" x14ac:dyDescent="0.15">
      <c r="A13" s="4" t="s">
        <v>17</v>
      </c>
      <c r="D13" s="32">
        <f>D4</f>
        <v>78300</v>
      </c>
      <c r="E13" s="32">
        <f>E5</f>
        <v>18600</v>
      </c>
      <c r="F13" s="32">
        <f>F4+F5</f>
        <v>96900</v>
      </c>
      <c r="G13" s="33">
        <v>8200</v>
      </c>
      <c r="H13" s="4" t="s">
        <v>18</v>
      </c>
      <c r="I13" s="65"/>
    </row>
    <row r="14" spans="1:10" x14ac:dyDescent="0.15">
      <c r="A14" t="s">
        <v>19</v>
      </c>
      <c r="D14" s="1">
        <f>D12/D13*100</f>
        <v>72.999599702636246</v>
      </c>
      <c r="E14" s="1">
        <f>E12/E13*100</f>
        <v>76.627026159524959</v>
      </c>
      <c r="F14" s="1">
        <f>F12/F13*100</f>
        <v>46.658934430017098</v>
      </c>
      <c r="G14" s="22">
        <f>G12/G13</f>
        <v>26.826363305424103</v>
      </c>
      <c r="H14" t="s">
        <v>20</v>
      </c>
    </row>
    <row r="15" spans="1:10" x14ac:dyDescent="0.15">
      <c r="I15" s="66"/>
    </row>
    <row r="16" spans="1:10" x14ac:dyDescent="0.15">
      <c r="D16" s="2">
        <f>D12+E12+F12</f>
        <v>116623.8208955224</v>
      </c>
    </row>
    <row r="17" spans="1:8" x14ac:dyDescent="0.15">
      <c r="C17" s="1"/>
      <c r="D17" s="1"/>
      <c r="E17" s="1"/>
      <c r="F17" s="1"/>
    </row>
    <row r="18" spans="1:8" x14ac:dyDescent="0.15">
      <c r="A18" s="6" t="s">
        <v>21</v>
      </c>
      <c r="C18" s="1"/>
      <c r="D18" s="1"/>
      <c r="E18" s="1"/>
      <c r="F18" s="1"/>
      <c r="G18" s="1"/>
    </row>
    <row r="19" spans="1:8" x14ac:dyDescent="0.15">
      <c r="A19" s="6" t="s">
        <v>22</v>
      </c>
      <c r="B19" s="20">
        <f>D14+F14</f>
        <v>119.65853413265334</v>
      </c>
      <c r="C19" s="64"/>
      <c r="D19" s="1"/>
      <c r="E19" s="1"/>
      <c r="F19" s="1"/>
      <c r="G19" s="3"/>
    </row>
    <row r="20" spans="1:8" x14ac:dyDescent="0.15">
      <c r="A20" s="6" t="s">
        <v>23</v>
      </c>
      <c r="B20" s="20">
        <f>E14+F14</f>
        <v>123.28596058954206</v>
      </c>
      <c r="C20" s="63"/>
    </row>
    <row r="21" spans="1:8" x14ac:dyDescent="0.15">
      <c r="A21" s="6"/>
    </row>
    <row r="22" spans="1:8" x14ac:dyDescent="0.15">
      <c r="B22" s="2"/>
      <c r="E22" s="11"/>
    </row>
    <row r="23" spans="1:8" x14ac:dyDescent="0.15">
      <c r="A23" s="6" t="s">
        <v>24</v>
      </c>
      <c r="B23" s="5" t="s">
        <v>25</v>
      </c>
      <c r="D23" s="6" t="s">
        <v>26</v>
      </c>
      <c r="E23" s="19"/>
      <c r="F23" s="6" t="s">
        <v>27</v>
      </c>
    </row>
    <row r="24" spans="1:8" x14ac:dyDescent="0.15">
      <c r="A24" t="s">
        <v>28</v>
      </c>
      <c r="B24" s="2">
        <v>510080</v>
      </c>
      <c r="D24" s="1">
        <v>223800</v>
      </c>
      <c r="E24" s="11"/>
      <c r="F24" s="1">
        <v>510080</v>
      </c>
    </row>
    <row r="25" spans="1:8" x14ac:dyDescent="0.15">
      <c r="A25" t="s">
        <v>29</v>
      </c>
      <c r="B25" s="1">
        <v>96900</v>
      </c>
      <c r="D25" s="1">
        <v>96900</v>
      </c>
      <c r="E25" s="1"/>
      <c r="F25" s="1">
        <f>D4+E5</f>
        <v>96900</v>
      </c>
    </row>
    <row r="26" spans="1:8" x14ac:dyDescent="0.15">
      <c r="A26" t="s">
        <v>30</v>
      </c>
      <c r="B26" s="10">
        <f>B12</f>
        <v>336600</v>
      </c>
      <c r="D26" s="10">
        <f>D12+E12+F12</f>
        <v>116623.8208955224</v>
      </c>
      <c r="E26" s="1"/>
      <c r="F26" s="10">
        <f>B10</f>
        <v>336600</v>
      </c>
    </row>
    <row r="27" spans="1:8" x14ac:dyDescent="0.15">
      <c r="B27" s="5">
        <f>B24-B25-B26</f>
        <v>76580</v>
      </c>
      <c r="D27" s="18">
        <f>D24-D25-D26</f>
        <v>10276.179104477604</v>
      </c>
      <c r="E27" s="18"/>
      <c r="F27" s="18">
        <f>F24-F25-F26</f>
        <v>76580</v>
      </c>
      <c r="H27" s="2"/>
    </row>
    <row r="28" spans="1:8" x14ac:dyDescent="0.15">
      <c r="D28" s="1"/>
      <c r="E28" s="1"/>
      <c r="F28" s="1"/>
    </row>
    <row r="29" spans="1:8" x14ac:dyDescent="0.15">
      <c r="B29" s="7"/>
      <c r="C29" t="s">
        <v>22</v>
      </c>
      <c r="E29" t="s">
        <v>23</v>
      </c>
    </row>
    <row r="30" spans="1:8" x14ac:dyDescent="0.15">
      <c r="B30" t="s">
        <v>28</v>
      </c>
      <c r="C30" s="1">
        <v>152500</v>
      </c>
      <c r="E30" s="1">
        <v>71300</v>
      </c>
    </row>
    <row r="31" spans="1:8" x14ac:dyDescent="0.15">
      <c r="C31" s="10">
        <f>B4</f>
        <v>78300</v>
      </c>
      <c r="E31" s="10">
        <f>B5</f>
        <v>18600</v>
      </c>
    </row>
    <row r="32" spans="1:8" x14ac:dyDescent="0.15">
      <c r="B32" s="12" t="s">
        <v>31</v>
      </c>
      <c r="C32" s="1">
        <f>C30-C31</f>
        <v>74200</v>
      </c>
      <c r="E32" s="11">
        <f>E30-E31</f>
        <v>52700</v>
      </c>
    </row>
    <row r="33" spans="1:7" x14ac:dyDescent="0.15">
      <c r="B33" s="8"/>
      <c r="C33" s="18">
        <f>C31</f>
        <v>78300</v>
      </c>
      <c r="D33" s="9"/>
      <c r="E33" s="19">
        <f>E5</f>
        <v>18600</v>
      </c>
    </row>
    <row r="34" spans="1:7" x14ac:dyDescent="0.15">
      <c r="B34" s="2" t="s">
        <v>32</v>
      </c>
      <c r="C34" s="34">
        <f>C32/C33</f>
        <v>0.94763729246487871</v>
      </c>
      <c r="D34" t="s">
        <v>33</v>
      </c>
      <c r="E34" s="35">
        <f>E32/E33</f>
        <v>2.8333333333333335</v>
      </c>
      <c r="F34" t="s">
        <v>33</v>
      </c>
    </row>
    <row r="35" spans="1:7" x14ac:dyDescent="0.15">
      <c r="D35" s="1"/>
      <c r="E35" s="1"/>
      <c r="F35" s="1"/>
    </row>
    <row r="38" spans="1:7" ht="14" x14ac:dyDescent="0.2">
      <c r="A38" s="42" t="s">
        <v>34</v>
      </c>
      <c r="B38" s="43"/>
      <c r="C38" s="43"/>
      <c r="D38" s="43"/>
      <c r="E38" s="43"/>
      <c r="F38" s="43"/>
      <c r="G38" s="43"/>
    </row>
    <row r="39" spans="1:7" ht="14" x14ac:dyDescent="0.2">
      <c r="A39" s="44" t="s">
        <v>35</v>
      </c>
      <c r="B39" s="45" t="s">
        <v>36</v>
      </c>
      <c r="C39" s="45" t="s">
        <v>37</v>
      </c>
      <c r="D39" s="45" t="s">
        <v>38</v>
      </c>
      <c r="E39" s="43"/>
      <c r="F39" s="43"/>
      <c r="G39" s="43"/>
    </row>
    <row r="40" spans="1:7" ht="18" customHeight="1" thickBot="1" x14ac:dyDescent="0.25">
      <c r="A40" s="46" t="s">
        <v>39</v>
      </c>
      <c r="B40" s="47" t="s">
        <v>40</v>
      </c>
      <c r="C40" s="48">
        <v>17.600000000000001</v>
      </c>
      <c r="D40" s="49">
        <f>C40*2.5</f>
        <v>44</v>
      </c>
      <c r="E40" s="43"/>
      <c r="F40" s="43"/>
      <c r="G40" s="43"/>
    </row>
    <row r="41" spans="1:7" ht="17" thickBot="1" x14ac:dyDescent="0.25">
      <c r="A41" s="46" t="s">
        <v>41</v>
      </c>
      <c r="B41" s="47" t="s">
        <v>42</v>
      </c>
      <c r="C41" s="48">
        <v>3.92</v>
      </c>
      <c r="D41" s="49">
        <f>C41*0.8</f>
        <v>3.1360000000000001</v>
      </c>
      <c r="E41" s="43"/>
      <c r="F41" s="43"/>
      <c r="G41" s="43"/>
    </row>
    <row r="42" spans="1:7" ht="17" thickBot="1" x14ac:dyDescent="0.25">
      <c r="A42" s="46" t="s">
        <v>43</v>
      </c>
      <c r="B42" s="47" t="s">
        <v>44</v>
      </c>
      <c r="C42" s="48">
        <v>9.25</v>
      </c>
      <c r="D42" s="49">
        <f>C42*0.15</f>
        <v>1.3875</v>
      </c>
      <c r="E42" s="43"/>
      <c r="F42" s="43"/>
      <c r="G42" s="43"/>
    </row>
    <row r="43" spans="1:7" ht="17" thickBot="1" x14ac:dyDescent="0.25">
      <c r="A43" s="46" t="s">
        <v>45</v>
      </c>
      <c r="B43" s="47" t="s">
        <v>46</v>
      </c>
      <c r="C43" s="48">
        <v>0.8</v>
      </c>
      <c r="D43" s="49">
        <f>C43*4</f>
        <v>3.2</v>
      </c>
      <c r="E43" s="43"/>
      <c r="F43" s="43"/>
      <c r="G43" s="43"/>
    </row>
    <row r="44" spans="1:7" ht="17" thickBot="1" x14ac:dyDescent="0.25">
      <c r="A44" s="46" t="s">
        <v>47</v>
      </c>
      <c r="B44" s="47" t="s">
        <v>48</v>
      </c>
      <c r="C44" s="48">
        <v>1.24</v>
      </c>
      <c r="D44" s="49">
        <f>C44*0.3</f>
        <v>0.372</v>
      </c>
      <c r="E44" s="43"/>
      <c r="F44" s="43"/>
      <c r="G44" s="43"/>
    </row>
    <row r="45" spans="1:7" ht="17" thickBot="1" x14ac:dyDescent="0.25">
      <c r="A45" s="46" t="s">
        <v>49</v>
      </c>
      <c r="B45" s="47" t="s">
        <v>50</v>
      </c>
      <c r="C45" s="48">
        <v>1.4</v>
      </c>
      <c r="D45" s="49">
        <f>C45*0.12</f>
        <v>0.16799999999999998</v>
      </c>
      <c r="E45" s="43"/>
      <c r="F45" s="43"/>
      <c r="G45" s="43"/>
    </row>
    <row r="46" spans="1:7" ht="17" thickBot="1" x14ac:dyDescent="0.25">
      <c r="A46" s="46" t="s">
        <v>51</v>
      </c>
      <c r="B46" s="47" t="s">
        <v>52</v>
      </c>
      <c r="C46" s="48">
        <v>0.2</v>
      </c>
      <c r="D46" s="49">
        <f>11*0.2</f>
        <v>2.2000000000000002</v>
      </c>
      <c r="E46" s="43"/>
      <c r="F46" s="43"/>
      <c r="G46" s="43"/>
    </row>
    <row r="47" spans="1:7" ht="17" thickBot="1" x14ac:dyDescent="0.25">
      <c r="A47" s="46"/>
      <c r="B47" s="47" t="s">
        <v>53</v>
      </c>
      <c r="C47" s="48">
        <v>0.8</v>
      </c>
      <c r="D47" s="49">
        <v>0.8</v>
      </c>
      <c r="E47" s="43"/>
      <c r="F47" s="43"/>
      <c r="G47" s="43"/>
    </row>
    <row r="48" spans="1:7" ht="17" thickBot="1" x14ac:dyDescent="0.25">
      <c r="A48" s="46">
        <v>10</v>
      </c>
      <c r="B48" s="47" t="s">
        <v>54</v>
      </c>
      <c r="C48" s="48">
        <v>0.7</v>
      </c>
      <c r="D48" s="49">
        <v>7</v>
      </c>
      <c r="E48" s="43"/>
      <c r="F48" s="43"/>
      <c r="G48" s="43"/>
    </row>
    <row r="49" spans="1:7" ht="15" x14ac:dyDescent="0.2">
      <c r="A49" s="50"/>
      <c r="B49" s="43"/>
      <c r="C49" s="43" t="s">
        <v>55</v>
      </c>
      <c r="D49" s="49">
        <f>SUM(D40:D48)</f>
        <v>62.263500000000008</v>
      </c>
      <c r="E49" s="43"/>
      <c r="F49" s="43"/>
      <c r="G49" s="43"/>
    </row>
    <row r="50" spans="1:7" ht="14" x14ac:dyDescent="0.2">
      <c r="A50" s="43"/>
      <c r="B50" s="43"/>
      <c r="C50" s="43" t="s">
        <v>56</v>
      </c>
      <c r="D50" s="51">
        <f>D49/10</f>
        <v>6.2263500000000009</v>
      </c>
      <c r="E50" s="43"/>
      <c r="F50" s="43"/>
      <c r="G50" s="43"/>
    </row>
    <row r="51" spans="1:7" ht="14" x14ac:dyDescent="0.2">
      <c r="A51" s="43" t="s">
        <v>57</v>
      </c>
      <c r="B51" s="43"/>
      <c r="C51" s="43"/>
      <c r="D51" s="43" t="s">
        <v>58</v>
      </c>
      <c r="E51" s="43"/>
      <c r="F51" s="43"/>
      <c r="G51" s="43"/>
    </row>
    <row r="52" spans="1:7" ht="14" x14ac:dyDescent="0.2">
      <c r="A52" s="43" t="s">
        <v>59</v>
      </c>
      <c r="B52" s="52">
        <f>D50</f>
        <v>6.2263500000000009</v>
      </c>
      <c r="C52" s="43"/>
      <c r="D52" s="52">
        <f>B52</f>
        <v>6.2263500000000009</v>
      </c>
      <c r="E52" s="43"/>
      <c r="F52" s="43"/>
      <c r="G52" s="43"/>
    </row>
    <row r="53" spans="1:7" ht="14" x14ac:dyDescent="0.2">
      <c r="A53" s="53">
        <v>1.2</v>
      </c>
      <c r="B53" s="54">
        <f>B52*A53</f>
        <v>7.4716200000000006</v>
      </c>
      <c r="C53" s="43"/>
      <c r="D53" s="55">
        <f>D54-D52</f>
        <v>4.3865664952694354</v>
      </c>
      <c r="E53" s="56">
        <f>D53/D52</f>
        <v>0.70451652979184187</v>
      </c>
      <c r="F53" s="43"/>
      <c r="G53" s="43"/>
    </row>
    <row r="54" spans="1:7" ht="14" x14ac:dyDescent="0.2">
      <c r="A54" s="43"/>
      <c r="B54" s="52">
        <f>SUM(B52:B53)</f>
        <v>13.697970000000002</v>
      </c>
      <c r="C54" s="43"/>
      <c r="D54" s="52">
        <f>D56-D55</f>
        <v>10.612916495269436</v>
      </c>
      <c r="E54" s="43"/>
      <c r="F54" s="43"/>
      <c r="G54" s="43"/>
    </row>
    <row r="55" spans="1:7" ht="14" x14ac:dyDescent="0.2">
      <c r="A55" s="57">
        <v>0.105</v>
      </c>
      <c r="B55" s="54">
        <f>B54*A55</f>
        <v>1.4382868500000001</v>
      </c>
      <c r="C55" s="43"/>
      <c r="D55" s="52">
        <f>D56*10.5/110.5</f>
        <v>1.1143562320032907</v>
      </c>
      <c r="E55" s="43"/>
      <c r="F55" s="43"/>
      <c r="G55" s="43"/>
    </row>
    <row r="56" spans="1:7" ht="14" x14ac:dyDescent="0.2">
      <c r="A56" s="43"/>
      <c r="B56" s="52">
        <f>SUM(B54:B55)</f>
        <v>15.136256850000002</v>
      </c>
      <c r="C56" s="43"/>
      <c r="D56" s="52">
        <f>D58-D57</f>
        <v>11.727272727272727</v>
      </c>
      <c r="E56" s="43"/>
      <c r="F56" s="43"/>
      <c r="G56" s="43"/>
    </row>
    <row r="57" spans="1:7" ht="14" x14ac:dyDescent="0.2">
      <c r="A57" s="53">
        <v>0.1</v>
      </c>
      <c r="B57" s="54">
        <f>B56*A57</f>
        <v>1.5136256850000003</v>
      </c>
      <c r="C57" s="43"/>
      <c r="D57" s="52">
        <f>D58/11</f>
        <v>1.1727272727272728</v>
      </c>
      <c r="E57" s="43"/>
      <c r="F57" s="43"/>
      <c r="G57" s="43"/>
    </row>
    <row r="58" spans="1:7" ht="14" x14ac:dyDescent="0.2">
      <c r="A58" s="43"/>
      <c r="B58" s="52">
        <f>B56+B57</f>
        <v>16.649882535000003</v>
      </c>
      <c r="C58" s="43"/>
      <c r="D58" s="52">
        <v>12.9</v>
      </c>
      <c r="E58" s="43"/>
      <c r="F58" s="43"/>
      <c r="G58" s="43"/>
    </row>
    <row r="59" spans="1:7" ht="14" x14ac:dyDescent="0.2">
      <c r="A59" s="43"/>
      <c r="B59" s="43"/>
      <c r="C59" s="43"/>
      <c r="D59" s="43"/>
      <c r="E59" s="43"/>
      <c r="F59" s="43"/>
      <c r="G59" s="43"/>
    </row>
    <row r="60" spans="1:7" ht="14" x14ac:dyDescent="0.2">
      <c r="A60" s="43"/>
      <c r="B60" s="43"/>
      <c r="C60" s="43"/>
      <c r="D60" s="43"/>
      <c r="E60" s="43"/>
      <c r="F60" s="43"/>
      <c r="G60" s="43"/>
    </row>
    <row r="61" spans="1:7" ht="14" x14ac:dyDescent="0.2">
      <c r="A61" s="43" t="s">
        <v>60</v>
      </c>
      <c r="B61" s="43"/>
      <c r="C61" s="43"/>
      <c r="D61" s="43" t="s">
        <v>58</v>
      </c>
      <c r="E61" s="43"/>
      <c r="F61" s="43"/>
      <c r="G61" s="43"/>
    </row>
    <row r="62" spans="1:7" ht="14" x14ac:dyDescent="0.2">
      <c r="A62" s="43" t="s">
        <v>59</v>
      </c>
      <c r="B62" s="52">
        <v>1.55</v>
      </c>
      <c r="C62" s="43"/>
      <c r="D62" s="52">
        <v>1.55</v>
      </c>
      <c r="E62" s="43"/>
      <c r="F62" s="43"/>
      <c r="G62" s="43"/>
    </row>
    <row r="63" spans="1:7" ht="14" x14ac:dyDescent="0.2">
      <c r="A63" s="53">
        <v>4.5</v>
      </c>
      <c r="B63" s="54">
        <f>B62*A63</f>
        <v>6.9750000000000005</v>
      </c>
      <c r="C63" s="43"/>
      <c r="D63" s="55">
        <f>D64-D62</f>
        <v>9.6999999999999993</v>
      </c>
      <c r="E63" s="56">
        <f>D63/D62</f>
        <v>6.258064516129032</v>
      </c>
      <c r="F63" s="43"/>
      <c r="G63" s="43"/>
    </row>
    <row r="64" spans="1:7" ht="14" x14ac:dyDescent="0.2">
      <c r="A64" s="43"/>
      <c r="B64" s="52">
        <f>SUM(B62:B63)</f>
        <v>8.5250000000000004</v>
      </c>
      <c r="C64" s="43"/>
      <c r="D64" s="52">
        <f>D66-D65</f>
        <v>11.25</v>
      </c>
      <c r="E64" s="43"/>
      <c r="F64" s="43"/>
      <c r="G64" s="43"/>
    </row>
    <row r="65" spans="1:7" ht="14" x14ac:dyDescent="0.2">
      <c r="A65" s="53">
        <v>0.2</v>
      </c>
      <c r="B65" s="58">
        <f>B64*A65</f>
        <v>1.7050000000000001</v>
      </c>
      <c r="C65" s="43"/>
      <c r="D65" s="52">
        <f>D66/6</f>
        <v>2.25</v>
      </c>
      <c r="E65" s="43"/>
      <c r="F65" s="43"/>
      <c r="G65" s="43"/>
    </row>
    <row r="66" spans="1:7" ht="14" x14ac:dyDescent="0.2">
      <c r="A66" s="43"/>
      <c r="B66" s="59">
        <f>B64+B65</f>
        <v>10.23</v>
      </c>
      <c r="C66" s="43"/>
      <c r="D66" s="52">
        <v>13.5</v>
      </c>
      <c r="E66" s="43"/>
      <c r="F66" s="43"/>
      <c r="G66" s="43"/>
    </row>
    <row r="67" spans="1:7" ht="14" x14ac:dyDescent="0.2">
      <c r="A67" s="43" t="s">
        <v>61</v>
      </c>
      <c r="B67" s="52">
        <v>11</v>
      </c>
      <c r="C67" s="43"/>
      <c r="D67" s="43"/>
      <c r="E67" s="43"/>
      <c r="F67" s="43"/>
      <c r="G67" s="43"/>
    </row>
    <row r="68" spans="1:7" ht="14" x14ac:dyDescent="0.2">
      <c r="A68" s="43"/>
      <c r="B68" s="43"/>
      <c r="C68" s="43"/>
      <c r="D68" s="43"/>
      <c r="E68" s="43"/>
      <c r="F68" s="43"/>
      <c r="G68" s="43"/>
    </row>
    <row r="69" spans="1:7" ht="14" x14ac:dyDescent="0.2">
      <c r="A69" s="43"/>
      <c r="B69" s="43"/>
      <c r="C69" s="43"/>
      <c r="D69" s="43"/>
      <c r="E69" s="43"/>
      <c r="F69" s="43"/>
      <c r="G69" s="43"/>
    </row>
    <row r="70" spans="1:7" ht="14" x14ac:dyDescent="0.2">
      <c r="A70" s="43" t="s">
        <v>62</v>
      </c>
      <c r="B70" s="43"/>
      <c r="C70" s="43"/>
      <c r="D70" s="43"/>
      <c r="E70" s="43"/>
    </row>
    <row r="71" spans="1:7" ht="14" x14ac:dyDescent="0.2">
      <c r="A71" s="43"/>
      <c r="B71" s="43" t="s">
        <v>63</v>
      </c>
      <c r="C71" s="43" t="s">
        <v>64</v>
      </c>
      <c r="D71" s="43"/>
      <c r="E71" s="43"/>
    </row>
    <row r="72" spans="1:7" ht="14" x14ac:dyDescent="0.2">
      <c r="A72" s="43" t="s">
        <v>65</v>
      </c>
      <c r="B72" s="52">
        <v>350</v>
      </c>
      <c r="C72" s="43"/>
      <c r="D72" s="43"/>
      <c r="E72" s="43"/>
    </row>
    <row r="73" spans="1:7" ht="14" x14ac:dyDescent="0.2">
      <c r="A73" s="43" t="s">
        <v>66</v>
      </c>
      <c r="B73" s="52">
        <v>280</v>
      </c>
      <c r="C73" s="43"/>
      <c r="D73" s="43"/>
      <c r="E73" s="43"/>
    </row>
    <row r="74" spans="1:7" ht="14" x14ac:dyDescent="0.2">
      <c r="A74" s="43" t="s">
        <v>59</v>
      </c>
      <c r="B74" s="52"/>
      <c r="C74" s="52">
        <v>0.85</v>
      </c>
      <c r="D74" s="43"/>
      <c r="E74" s="43"/>
    </row>
    <row r="75" spans="1:7" ht="14" x14ac:dyDescent="0.2">
      <c r="A75" s="43" t="s">
        <v>67</v>
      </c>
      <c r="B75" s="54"/>
      <c r="C75" s="54">
        <v>0.1</v>
      </c>
      <c r="D75" s="43"/>
      <c r="E75" s="43"/>
    </row>
    <row r="76" spans="1:7" ht="14" x14ac:dyDescent="0.2">
      <c r="A76" s="43" t="s">
        <v>68</v>
      </c>
      <c r="B76" s="52">
        <f>SUM(B72:B75)</f>
        <v>630</v>
      </c>
      <c r="C76" s="52">
        <f>SUM(C74:C75)</f>
        <v>0.95</v>
      </c>
      <c r="D76" s="43"/>
      <c r="E76" s="43"/>
    </row>
    <row r="77" spans="1:7" ht="14" x14ac:dyDescent="0.2">
      <c r="A77" s="43"/>
      <c r="B77" s="52"/>
      <c r="C77" s="43"/>
      <c r="D77" s="43"/>
      <c r="E77" s="43"/>
    </row>
    <row r="78" spans="1:7" ht="14" x14ac:dyDescent="0.2">
      <c r="A78" s="43" t="s">
        <v>28</v>
      </c>
      <c r="B78" s="52">
        <v>5.5</v>
      </c>
      <c r="C78" s="43"/>
      <c r="D78" s="43"/>
      <c r="E78" s="43"/>
    </row>
    <row r="79" spans="1:7" ht="14" x14ac:dyDescent="0.2">
      <c r="A79" s="43" t="s">
        <v>69</v>
      </c>
      <c r="B79" s="52">
        <f>B78/1.2</f>
        <v>4.5833333333333339</v>
      </c>
      <c r="C79" s="43"/>
      <c r="D79" s="43"/>
      <c r="E79" s="43"/>
    </row>
    <row r="80" spans="1:7" ht="14" x14ac:dyDescent="0.2">
      <c r="A80" s="43"/>
      <c r="B80" s="52"/>
      <c r="C80" s="43"/>
      <c r="D80" s="43"/>
      <c r="E80" s="43"/>
    </row>
    <row r="81" spans="1:5" ht="14" x14ac:dyDescent="0.2">
      <c r="A81" s="43" t="s">
        <v>70</v>
      </c>
      <c r="B81" s="52">
        <f>B79</f>
        <v>4.5833333333333339</v>
      </c>
      <c r="C81" s="43"/>
      <c r="D81" s="43"/>
      <c r="E81" s="43"/>
    </row>
    <row r="82" spans="1:5" ht="14" x14ac:dyDescent="0.2">
      <c r="A82" s="43" t="s">
        <v>71</v>
      </c>
      <c r="B82" s="54">
        <v>0.95</v>
      </c>
      <c r="C82" s="43"/>
      <c r="D82" s="43"/>
      <c r="E82" s="43"/>
    </row>
    <row r="83" spans="1:5" ht="14" x14ac:dyDescent="0.2">
      <c r="A83" s="60" t="s">
        <v>72</v>
      </c>
      <c r="B83" s="55">
        <f>B81-B82</f>
        <v>3.6333333333333337</v>
      </c>
      <c r="C83" s="43"/>
      <c r="D83" s="43"/>
      <c r="E83" s="43"/>
    </row>
    <row r="84" spans="1:5" ht="14" x14ac:dyDescent="0.2">
      <c r="A84" s="43"/>
      <c r="B84" s="43"/>
      <c r="C84" s="43"/>
      <c r="D84" s="43"/>
      <c r="E84" s="43"/>
    </row>
    <row r="85" spans="1:5" ht="14" x14ac:dyDescent="0.2">
      <c r="A85" s="43" t="s">
        <v>73</v>
      </c>
      <c r="B85" s="61" t="s">
        <v>74</v>
      </c>
      <c r="C85" s="54">
        <f>B76</f>
        <v>630</v>
      </c>
      <c r="D85" s="62">
        <f>C85/C86</f>
        <v>173.39449541284401</v>
      </c>
      <c r="E85" s="43">
        <v>174</v>
      </c>
    </row>
    <row r="86" spans="1:5" ht="14" x14ac:dyDescent="0.2">
      <c r="A86" s="43"/>
      <c r="B86" s="43" t="s">
        <v>72</v>
      </c>
      <c r="C86" s="59">
        <f>B83</f>
        <v>3.6333333333333337</v>
      </c>
      <c r="D86" s="43"/>
      <c r="E86" s="43"/>
    </row>
    <row r="87" spans="1:5" ht="14" x14ac:dyDescent="0.2">
      <c r="A87" s="43"/>
      <c r="B87" s="43"/>
      <c r="C87" s="43"/>
      <c r="D87" s="43"/>
      <c r="E87" s="43"/>
    </row>
    <row r="88" spans="1:5" ht="14" x14ac:dyDescent="0.2">
      <c r="A88" s="43"/>
      <c r="B88" s="43"/>
      <c r="C88" s="43"/>
      <c r="D88" s="43"/>
      <c r="E88" s="43"/>
    </row>
    <row r="89" spans="1:5" ht="14" x14ac:dyDescent="0.2">
      <c r="A89" s="43" t="s">
        <v>75</v>
      </c>
      <c r="B89" s="43"/>
      <c r="C89" s="43"/>
      <c r="D89" s="43"/>
      <c r="E89" s="43"/>
    </row>
    <row r="90" spans="1:5" ht="14" x14ac:dyDescent="0.2">
      <c r="A90" s="43"/>
      <c r="B90" s="43"/>
      <c r="C90" s="43"/>
      <c r="D90" s="43"/>
      <c r="E90" s="43"/>
    </row>
    <row r="91" spans="1:5" ht="14" x14ac:dyDescent="0.2">
      <c r="A91" s="43"/>
      <c r="B91" s="43"/>
      <c r="C91" s="43"/>
      <c r="D91" s="43"/>
      <c r="E91" s="43"/>
    </row>
    <row r="92" spans="1:5" ht="14" x14ac:dyDescent="0.2">
      <c r="A92" s="43"/>
      <c r="B92" s="43"/>
      <c r="C92" s="43"/>
      <c r="D92" s="43"/>
      <c r="E92" s="43"/>
    </row>
    <row r="93" spans="1:5" ht="14" x14ac:dyDescent="0.2">
      <c r="A93" s="43"/>
      <c r="B93" s="43"/>
      <c r="C93" s="43"/>
      <c r="D93" s="43"/>
      <c r="E93" s="43"/>
    </row>
    <row r="94" spans="1:5" ht="14" x14ac:dyDescent="0.2">
      <c r="A94" s="43"/>
      <c r="B94" s="43"/>
      <c r="C94" s="43"/>
      <c r="D94" s="43"/>
      <c r="E94" s="43"/>
    </row>
  </sheetData>
  <phoneticPr fontId="2" type="noConversion"/>
  <pageMargins left="0.24" right="0.14000000000000001" top="0.52" bottom="0.47" header="0.4921259845" footer="0.492125984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B6" sqref="B6:G9"/>
    </sheetView>
  </sheetViews>
  <sheetFormatPr baseColWidth="10" defaultColWidth="8.83203125" defaultRowHeight="13" x14ac:dyDescent="0.15"/>
  <cols>
    <col min="1" max="1" width="26.6640625" customWidth="1"/>
    <col min="2" max="2" width="18.5" customWidth="1"/>
    <col min="3" max="3" width="15.5" bestFit="1" customWidth="1"/>
    <col min="4" max="4" width="15.6640625" customWidth="1"/>
    <col min="5" max="5" width="16.5" customWidth="1"/>
    <col min="6" max="6" width="16.33203125" bestFit="1" customWidth="1"/>
    <col min="7" max="7" width="17.1640625" bestFit="1" customWidth="1"/>
    <col min="8" max="256" width="11.5" customWidth="1"/>
  </cols>
  <sheetData>
    <row r="1" spans="1:8" ht="20" x14ac:dyDescent="0.2">
      <c r="A1" s="21" t="s">
        <v>1</v>
      </c>
    </row>
    <row r="2" spans="1:8" ht="20" x14ac:dyDescent="0.2">
      <c r="A2" s="21"/>
    </row>
    <row r="3" spans="1:8" ht="18" x14ac:dyDescent="0.2">
      <c r="A3" s="30"/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</row>
    <row r="4" spans="1:8" ht="18" x14ac:dyDescent="0.2">
      <c r="A4" s="67" t="s">
        <v>8</v>
      </c>
      <c r="B4" s="36">
        <v>78300</v>
      </c>
      <c r="C4" s="31"/>
      <c r="D4" s="31"/>
      <c r="E4" s="31"/>
      <c r="F4" s="31"/>
      <c r="G4" s="31"/>
      <c r="H4" s="1"/>
    </row>
    <row r="5" spans="1:8" ht="18" x14ac:dyDescent="0.2">
      <c r="A5" s="67" t="s">
        <v>9</v>
      </c>
      <c r="B5" s="37">
        <v>18600</v>
      </c>
      <c r="C5" s="31"/>
      <c r="D5" s="31"/>
      <c r="E5" s="31"/>
      <c r="F5" s="31"/>
      <c r="G5" s="31"/>
      <c r="H5" s="1"/>
    </row>
    <row r="6" spans="1:8" ht="18" x14ac:dyDescent="0.2">
      <c r="A6" s="68" t="s">
        <v>10</v>
      </c>
      <c r="B6" s="40">
        <v>26000</v>
      </c>
      <c r="C6" s="40">
        <f>B6*0.05</f>
        <v>1300</v>
      </c>
      <c r="D6" s="40">
        <f>B6*0.15</f>
        <v>3900</v>
      </c>
      <c r="E6" s="40">
        <f>B6*0.05</f>
        <v>1300</v>
      </c>
      <c r="F6" s="40">
        <f>B6*0.2</f>
        <v>5200</v>
      </c>
      <c r="G6" s="40">
        <f>B6*0.55</f>
        <v>14300.000000000002</v>
      </c>
      <c r="H6" s="1"/>
    </row>
    <row r="7" spans="1:8" ht="18" x14ac:dyDescent="0.2">
      <c r="A7" s="68" t="s">
        <v>11</v>
      </c>
      <c r="B7" s="40">
        <v>129000</v>
      </c>
      <c r="C7" s="40">
        <f>B7*0.12</f>
        <v>15480</v>
      </c>
      <c r="D7" s="40">
        <f>B7*0.22</f>
        <v>28380</v>
      </c>
      <c r="E7" s="40">
        <f>B7*0.03</f>
        <v>3870</v>
      </c>
      <c r="F7" s="40">
        <f>B7*0.11</f>
        <v>14190</v>
      </c>
      <c r="G7" s="40">
        <f>B7*0.52</f>
        <v>67080</v>
      </c>
      <c r="H7" s="1"/>
    </row>
    <row r="8" spans="1:8" ht="18" x14ac:dyDescent="0.2">
      <c r="A8" s="68" t="s">
        <v>12</v>
      </c>
      <c r="B8" s="40">
        <v>52600</v>
      </c>
      <c r="C8" s="40">
        <v>8800</v>
      </c>
      <c r="D8" s="40">
        <v>5900</v>
      </c>
      <c r="E8" s="40">
        <v>2000</v>
      </c>
      <c r="F8" s="40">
        <v>6500</v>
      </c>
      <c r="G8" s="40">
        <v>29400</v>
      </c>
      <c r="H8" s="1"/>
    </row>
    <row r="9" spans="1:8" ht="18" x14ac:dyDescent="0.2">
      <c r="A9" s="68" t="s">
        <v>13</v>
      </c>
      <c r="B9" s="40">
        <v>129000</v>
      </c>
      <c r="C9" s="40">
        <f>B9/134*7</f>
        <v>6738.8059701492539</v>
      </c>
      <c r="D9" s="40">
        <f>B9/134*13</f>
        <v>12514.925373134329</v>
      </c>
      <c r="E9" s="40">
        <f>B9/134*4</f>
        <v>3850.7462686567164</v>
      </c>
      <c r="F9" s="40">
        <f>B9/134*10</f>
        <v>9626.8656716417918</v>
      </c>
      <c r="G9" s="40">
        <f>B9/134*100</f>
        <v>96268.656716417914</v>
      </c>
      <c r="H9" s="1"/>
    </row>
    <row r="10" spans="1:8" ht="18" x14ac:dyDescent="0.2">
      <c r="A10" s="68" t="s">
        <v>76</v>
      </c>
      <c r="B10" s="38">
        <f>SUM(B6:B9)</f>
        <v>336600</v>
      </c>
      <c r="C10" s="23"/>
      <c r="D10" s="23"/>
      <c r="E10" s="23"/>
      <c r="F10" s="23"/>
      <c r="G10" s="23"/>
      <c r="H10" s="1"/>
    </row>
    <row r="11" spans="1:8" ht="18" x14ac:dyDescent="0.2">
      <c r="A11" s="68" t="s">
        <v>15</v>
      </c>
      <c r="B11" s="39"/>
      <c r="C11" s="23"/>
      <c r="D11" s="23"/>
      <c r="E11" s="23"/>
      <c r="F11" s="23"/>
      <c r="G11" s="23"/>
      <c r="H11" s="1"/>
    </row>
    <row r="12" spans="1:8" ht="18" x14ac:dyDescent="0.2">
      <c r="A12" s="68" t="s">
        <v>77</v>
      </c>
      <c r="B12" s="38">
        <f>B10</f>
        <v>336600</v>
      </c>
      <c r="C12" s="23"/>
      <c r="D12" s="24"/>
      <c r="E12" s="24"/>
      <c r="F12" s="24"/>
      <c r="G12" s="24"/>
      <c r="H12" s="1"/>
    </row>
    <row r="13" spans="1:8" ht="18" x14ac:dyDescent="0.2">
      <c r="A13" s="68" t="s">
        <v>17</v>
      </c>
      <c r="B13" s="25"/>
      <c r="C13" s="25"/>
      <c r="D13" s="26"/>
      <c r="E13" s="26"/>
      <c r="F13" s="26"/>
      <c r="G13" s="25"/>
      <c r="H13" s="4"/>
    </row>
    <row r="14" spans="1:8" ht="18" x14ac:dyDescent="0.2">
      <c r="A14" s="68" t="s">
        <v>78</v>
      </c>
      <c r="B14" s="27"/>
      <c r="C14" s="27"/>
      <c r="D14" s="28"/>
      <c r="E14" s="28"/>
      <c r="F14" s="28"/>
      <c r="G14" s="29"/>
    </row>
  </sheetData>
  <phoneticPr fontId="2" type="noConversion"/>
  <pageMargins left="0.78740157499999996" right="0.49" top="0.984251969" bottom="0.984251969" header="0.4921259845" footer="0.4921259845"/>
  <pageSetup paperSize="9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4E7E923EB958439FCE13CD9ED91211" ma:contentTypeVersion="2" ma:contentTypeDescription="Ein neues Dokument erstellen." ma:contentTypeScope="" ma:versionID="7547c9fbfee6fddac59aaf65726191d0">
  <xsd:schema xmlns:xsd="http://www.w3.org/2001/XMLSchema" xmlns:xs="http://www.w3.org/2001/XMLSchema" xmlns:p="http://schemas.microsoft.com/office/2006/metadata/properties" xmlns:ns2="7c17d931-c4a9-4dff-921a-9370f2819b89" targetNamespace="http://schemas.microsoft.com/office/2006/metadata/properties" ma:root="true" ma:fieldsID="cf6a87840dfa3a0f4f7b1adcf312bcff" ns2:_="">
    <xsd:import namespace="7c17d931-c4a9-4dff-921a-9370f2819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7d931-c4a9-4dff-921a-9370f2819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34CA66-B075-4E2E-8E5A-CCE3CF1167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0452F8-3F1C-4FD2-8E89-6A031A60B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7d931-c4a9-4dff-921a-9370f2819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BAB</vt:lpstr>
      <vt:lpstr>BAB quer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Bogensperger</dc:creator>
  <cp:keywords/>
  <dc:description/>
  <cp:lastModifiedBy>Microsoft Office User</cp:lastModifiedBy>
  <cp:revision/>
  <dcterms:created xsi:type="dcterms:W3CDTF">2006-12-28T12:12:53Z</dcterms:created>
  <dcterms:modified xsi:type="dcterms:W3CDTF">2023-04-17T09:34:38Z</dcterms:modified>
  <cp:category/>
  <cp:contentStatus/>
</cp:coreProperties>
</file>